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P1 Presupuesto Aprobado" sheetId="1" r:id="rId1"/>
    <sheet name="P2 Presupuesto Aprobado-Ejec " sheetId="2" r:id="rId2"/>
    <sheet name="P3 Ejecucion " sheetId="3" r:id="rId3"/>
  </sheets>
  <definedNames/>
  <calcPr fullCalcOnLoad="1"/>
</workbook>
</file>

<file path=xl/sharedStrings.xml><?xml version="1.0" encoding="utf-8"?>
<sst xmlns="http://schemas.openxmlformats.org/spreadsheetml/2006/main" count="277" uniqueCount="104">
  <si>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</si>
  <si>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</si>
  <si>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</si>
  <si>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</si>
  <si>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</si>
  <si>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</si>
  <si>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</si>
  <si>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</si>
  <si>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</si>
  <si>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</si>
  <si>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</si>
  <si>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</si>
  <si>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</si>
  <si>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</si>
  <si>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</si>
  <si>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</si>
  <si>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</si>
  <si>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</si>
  <si>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</si>
  <si>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</si>
  <si>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</si>
  <si>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</si>
  <si>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</si>
  <si>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</si>
  <si>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</si>
  <si>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</si>
  <si>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</si>
  <si>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</si>
  <si>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</si>
  <si>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</si>
  <si>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</si>
  <si>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</si>
  <si>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</si>
  <si>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</si>
  <si>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</si>
  <si>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</si>
  <si>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</si>
  <si>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</si>
  <si>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</si>
  <si>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</si>
  <si>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</si>
  <si>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</si>
  <si>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</si>
  <si>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</si>
  <si>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</si>
  <si>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</si>
  <si>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</si>
  <si>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</si>
  <si>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</si>
  <si>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</si>
  <si>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</si>
  <si>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</si>
  <si>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</si>
  <si>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</si>
  <si>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</si>
  <si>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</si>
  <si>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</si>
  <si>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</si>
  <si>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</si>
  <si>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</si>
  <si>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</si>
  <si>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</si>
  <si>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</si>
  <si>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</si>
  <si>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</si>
  <si>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</si>
  <si>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</si>
  <si>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</si>
  <si>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</si>
  <si>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</si>
  <si>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</si>
  <si>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</si>
  <si>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</si>
  <si>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</si>
  <si>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</si>
  <si>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</si>
  <si>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</si>
  <si>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</si>
  <si>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</si>
  <si>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</si>
  <si>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</si>
  <si>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</si>
  <si>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</si>
  <si>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</si>
  <si>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</si>
  <si>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</si>
  <si>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</si>
  <si>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</si>
  <si>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</si>
  <si>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</si>
  <si>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</si>
  <si>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</si>
  <si>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</si>
  <si>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</si>
  <si>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</si>
  <si>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</si>
  <si>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</si>
  <si>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</si>
  <si>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</si>
  <si>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</si>
  <si>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</si>
  <si>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2021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</si>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</sst>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medium"/>
      <right style="medium"/>
      <top style="medium"/>
      <bottom style="medium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164" fontId="44" fillId="0" borderId="10" xfId="0" applyNumberFormat="1" applyFont="1" applyBorder="1" applyAlignment="1">
      <alignment/>
    </xf>
    <xf numFmtId="0" fontId="44" fillId="0" borderId="0" xfId="0" applyFont="1" applyAlignment="1">
      <alignment horizontal="left" indent="1"/>
    </xf>
    <xf numFmtId="164" fontId="44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164" fontId="44" fillId="33" borderId="12" xfId="0" applyNumberFormat="1" applyFont="1" applyFill="1" applyBorder="1" applyAlignment="1">
      <alignment/>
    </xf>
    <xf numFmtId="0" fontId="45" fillId="33" borderId="12" xfId="0" applyFont="1" applyFill="1" applyBorder="1" applyAlignment="1">
      <alignment vertical="center"/>
    </xf>
    <xf numFmtId="0" fontId="46" fillId="0" borderId="0" xfId="0" applyFont="1" applyAlignment="1">
      <alignment vertical="center" wrapText="1" readingOrder="1"/>
    </xf>
    <xf numFmtId="0" fontId="47" fillId="0" borderId="0" xfId="0" applyFont="1" applyAlignment="1">
      <alignment vertical="top" wrapText="1" readingOrder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top" wrapText="1" readingOrder="1"/>
    </xf>
    <xf numFmtId="0" fontId="49" fillId="0" borderId="0" xfId="0" applyFont="1" applyBorder="1" applyAlignment="1">
      <alignment horizontal="center" vertical="top" wrapText="1" readingOrder="1"/>
    </xf>
    <xf numFmtId="0" fontId="45" fillId="35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5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5" fillId="35" borderId="11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top" wrapText="1" readingOrder="1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top" wrapText="1" readingOrder="1"/>
    </xf>
    <xf numFmtId="0" fontId="46" fillId="0" borderId="0" xfId="0" applyFont="1" applyBorder="1" applyAlignment="1">
      <alignment vertical="center" wrapText="1" readingOrder="1"/>
    </xf>
    <xf numFmtId="0" fontId="47" fillId="0" borderId="16" xfId="0" applyFont="1" applyBorder="1" applyAlignment="1">
      <alignment horizontal="center" vertical="top" wrapText="1" readingOrder="1"/>
    </xf>
    <xf numFmtId="0" fontId="47" fillId="0" borderId="0" xfId="0" applyFont="1" applyBorder="1" applyAlignment="1">
      <alignment horizontal="center" vertical="top" wrapText="1" readingOrder="1"/>
    </xf>
    <xf numFmtId="0" fontId="44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center"/>
    </xf>
    <xf numFmtId="0" fontId="47" fillId="0" borderId="16" xfId="0" applyFont="1" applyBorder="1" applyAlignment="1">
      <alignment horizontal="center" vertical="top" wrapText="1" readingOrder="1"/>
    </xf>
    <xf numFmtId="0" fontId="47" fillId="0" borderId="0" xfId="0" applyFont="1" applyBorder="1" applyAlignment="1">
      <alignment horizontal="center" vertical="top" wrapText="1" readingOrder="1"/>
    </xf>
    <xf numFmtId="0" fontId="46" fillId="0" borderId="16" xfId="0" applyFont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center" vertical="center" wrapText="1" readingOrder="1"/>
    </xf>
    <xf numFmtId="0" fontId="49" fillId="0" borderId="16" xfId="0" applyFont="1" applyBorder="1" applyAlignment="1">
      <alignment horizontal="center" vertical="top" wrapText="1" readingOrder="1"/>
    </xf>
    <xf numFmtId="0" fontId="49" fillId="0" borderId="0" xfId="0" applyFont="1" applyBorder="1" applyAlignment="1">
      <alignment horizontal="center" vertical="top" wrapText="1" readingOrder="1"/>
    </xf>
    <xf numFmtId="0" fontId="45" fillId="33" borderId="11" xfId="0" applyFont="1" applyFill="1" applyBorder="1" applyAlignment="1">
      <alignment horizontal="left" vertical="center"/>
    </xf>
    <xf numFmtId="43" fontId="45" fillId="33" borderId="11" xfId="47" applyFont="1" applyFill="1" applyBorder="1" applyAlignment="1">
      <alignment horizontal="center" vertical="center" wrapText="1"/>
    </xf>
    <xf numFmtId="43" fontId="45" fillId="33" borderId="18" xfId="47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43" fontId="44" fillId="0" borderId="10" xfId="47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43" fontId="44" fillId="0" borderId="0" xfId="47" applyFont="1" applyAlignment="1">
      <alignment wrapText="1"/>
    </xf>
    <xf numFmtId="43" fontId="44" fillId="0" borderId="0" xfId="47" applyFont="1" applyAlignment="1">
      <alignment/>
    </xf>
    <xf numFmtId="43" fontId="0" fillId="0" borderId="0" xfId="47" applyFont="1" applyAlignment="1">
      <alignment/>
    </xf>
    <xf numFmtId="43" fontId="24" fillId="34" borderId="0" xfId="47" applyFont="1" applyFill="1" applyAlignment="1">
      <alignment/>
    </xf>
    <xf numFmtId="43" fontId="0" fillId="0" borderId="0" xfId="47" applyNumberFormat="1" applyFont="1" applyAlignment="1">
      <alignment/>
    </xf>
    <xf numFmtId="165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44" fillId="0" borderId="0" xfId="47" applyFont="1" applyAlignment="1">
      <alignment vertical="center" wrapText="1"/>
    </xf>
    <xf numFmtId="43" fontId="44" fillId="0" borderId="0" xfId="0" applyNumberFormat="1" applyFont="1" applyAlignment="1">
      <alignment/>
    </xf>
    <xf numFmtId="43" fontId="0" fillId="0" borderId="0" xfId="0" applyNumberFormat="1" applyAlignment="1">
      <alignment vertical="center" wrapText="1"/>
    </xf>
    <xf numFmtId="165" fontId="44" fillId="0" borderId="0" xfId="0" applyNumberFormat="1" applyFont="1" applyAlignment="1">
      <alignment vertical="center" wrapText="1"/>
    </xf>
    <xf numFmtId="43" fontId="25" fillId="0" borderId="0" xfId="0" applyNumberFormat="1" applyFont="1" applyAlignment="1">
      <alignment/>
    </xf>
    <xf numFmtId="165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43" fontId="26" fillId="0" borderId="22" xfId="47" applyFont="1" applyFill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</xdr:row>
      <xdr:rowOff>142875</xdr:rowOff>
    </xdr:from>
    <xdr:to>
      <xdr:col>5</xdr:col>
      <xdr:colOff>133350</xdr:colOff>
      <xdr:row>5</xdr:row>
      <xdr:rowOff>9525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9363075" y="523875"/>
          <a:ext cx="16383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1504950</xdr:colOff>
      <xdr:row>5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1390650" y="542925"/>
          <a:ext cx="16383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MIN.                      (si aplica)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0</xdr:row>
      <xdr:rowOff>0</xdr:rowOff>
    </xdr:from>
    <xdr:to>
      <xdr:col>9</xdr:col>
      <xdr:colOff>409575</xdr:colOff>
      <xdr:row>4</xdr:row>
      <xdr:rowOff>247650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5705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104775</xdr:rowOff>
    </xdr:from>
    <xdr:to>
      <xdr:col>2</xdr:col>
      <xdr:colOff>2600325</xdr:colOff>
      <xdr:row>7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295275"/>
          <a:ext cx="2524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2</xdr:row>
      <xdr:rowOff>171450</xdr:rowOff>
    </xdr:from>
    <xdr:to>
      <xdr:col>15</xdr:col>
      <xdr:colOff>628650</xdr:colOff>
      <xdr:row>5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00" y="552450"/>
          <a:ext cx="17621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1657350</xdr:colOff>
      <xdr:row>5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543050" y="600075"/>
          <a:ext cx="16383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MIN.                      (si aplica)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zoomScalePageLayoutView="0" workbookViewId="0" topLeftCell="A79">
      <selection activeCell="D92" sqref="D92"/>
    </sheetView>
  </sheetViews>
  <sheetFormatPr defaultColWidth="11.421875" defaultRowHeight="15"/>
  <cols>
    <col min="3" max="3" width="105.8515625" style="0" customWidth="1"/>
    <col min="4" max="4" width="17.57421875" style="0" customWidth="1"/>
    <col min="5" max="5" width="16.7109375" style="0" customWidth="1"/>
  </cols>
  <sheetData>
    <row r="3" spans="3:16" ht="28.5" customHeight="1">
      <c r="C3" s="33" t="s">
        <v>78</v>
      </c>
      <c r="D3" s="34"/>
      <c r="E3" s="34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3:16" ht="21" customHeight="1">
      <c r="C4" s="31" t="s">
        <v>67</v>
      </c>
      <c r="D4" s="32"/>
      <c r="E4" s="32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3:16" ht="15.75">
      <c r="C5" s="40" t="s">
        <v>68</v>
      </c>
      <c r="D5" s="41"/>
      <c r="E5" s="41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15.75" customHeight="1">
      <c r="C6" s="35" t="s">
        <v>79</v>
      </c>
      <c r="D6" s="36"/>
      <c r="E6" s="36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>
      <c r="B7" s="15"/>
      <c r="C7" s="35" t="s">
        <v>80</v>
      </c>
      <c r="D7" s="36"/>
      <c r="E7" s="36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3:6" ht="15" customHeight="1">
      <c r="C9" s="37" t="s">
        <v>66</v>
      </c>
      <c r="D9" s="38" t="s">
        <v>97</v>
      </c>
      <c r="E9" s="38" t="s">
        <v>96</v>
      </c>
      <c r="F9" s="8"/>
    </row>
    <row r="10" spans="3:6" ht="23.25" customHeight="1">
      <c r="C10" s="37"/>
      <c r="D10" s="39"/>
      <c r="E10" s="39"/>
      <c r="F10" s="8"/>
    </row>
    <row r="11" spans="3:6" ht="15">
      <c r="C11" s="1" t="s">
        <v>0</v>
      </c>
      <c r="D11" s="2"/>
      <c r="E11" s="2"/>
      <c r="F11" s="8"/>
    </row>
    <row r="12" spans="3:6" ht="15">
      <c r="C12" s="3" t="s">
        <v>1</v>
      </c>
      <c r="D12" s="4"/>
      <c r="F12" s="8"/>
    </row>
    <row r="13" spans="3:6" ht="15">
      <c r="C13" s="5" t="s">
        <v>2</v>
      </c>
      <c r="D13" s="6"/>
      <c r="F13" s="8"/>
    </row>
    <row r="14" spans="3:6" ht="15">
      <c r="C14" s="5" t="s">
        <v>3</v>
      </c>
      <c r="D14" s="6"/>
      <c r="F14" s="8"/>
    </row>
    <row r="15" spans="3:6" ht="15">
      <c r="C15" s="5" t="s">
        <v>4</v>
      </c>
      <c r="D15" s="6"/>
      <c r="F15" s="8"/>
    </row>
    <row r="16" spans="3:6" ht="15">
      <c r="C16" s="5" t="s">
        <v>5</v>
      </c>
      <c r="D16" s="6"/>
      <c r="F16" s="8"/>
    </row>
    <row r="17" spans="3:6" ht="15">
      <c r="C17" s="5" t="s">
        <v>6</v>
      </c>
      <c r="D17" s="6"/>
      <c r="F17" s="8"/>
    </row>
    <row r="18" spans="3:6" ht="15">
      <c r="C18" s="3" t="s">
        <v>7</v>
      </c>
      <c r="D18" s="4"/>
      <c r="F18" s="8"/>
    </row>
    <row r="19" spans="3:6" ht="15">
      <c r="C19" s="5" t="s">
        <v>8</v>
      </c>
      <c r="D19" s="6"/>
      <c r="F19" s="8"/>
    </row>
    <row r="20" spans="3:6" ht="15">
      <c r="C20" s="5" t="s">
        <v>9</v>
      </c>
      <c r="D20" s="6"/>
      <c r="F20" s="8"/>
    </row>
    <row r="21" spans="3:6" ht="15">
      <c r="C21" s="5" t="s">
        <v>10</v>
      </c>
      <c r="D21" s="6"/>
      <c r="F21" s="8"/>
    </row>
    <row r="22" spans="3:6" ht="15">
      <c r="C22" s="5" t="s">
        <v>11</v>
      </c>
      <c r="D22" s="6"/>
      <c r="F22" s="8"/>
    </row>
    <row r="23" spans="3:4" ht="15">
      <c r="C23" s="5" t="s">
        <v>12</v>
      </c>
      <c r="D23" s="6"/>
    </row>
    <row r="24" spans="3:4" ht="15">
      <c r="C24" s="5" t="s">
        <v>13</v>
      </c>
      <c r="D24" s="6"/>
    </row>
    <row r="25" spans="3:4" ht="15">
      <c r="C25" s="5" t="s">
        <v>14</v>
      </c>
      <c r="D25" s="6"/>
    </row>
    <row r="26" spans="3:4" ht="15">
      <c r="C26" s="5" t="s">
        <v>15</v>
      </c>
      <c r="D26" s="6"/>
    </row>
    <row r="27" spans="3:4" ht="15">
      <c r="C27" s="5" t="s">
        <v>16</v>
      </c>
      <c r="D27" s="6"/>
    </row>
    <row r="28" spans="3:4" ht="15">
      <c r="C28" s="3" t="s">
        <v>17</v>
      </c>
      <c r="D28" s="4"/>
    </row>
    <row r="29" spans="3:4" ht="15">
      <c r="C29" s="5" t="s">
        <v>18</v>
      </c>
      <c r="D29" s="6"/>
    </row>
    <row r="30" spans="3:4" ht="15">
      <c r="C30" s="5" t="s">
        <v>19</v>
      </c>
      <c r="D30" s="6"/>
    </row>
    <row r="31" spans="3:4" ht="15">
      <c r="C31" s="5" t="s">
        <v>20</v>
      </c>
      <c r="D31" s="6"/>
    </row>
    <row r="32" spans="3:4" ht="15">
      <c r="C32" s="5" t="s">
        <v>21</v>
      </c>
      <c r="D32" s="6"/>
    </row>
    <row r="33" spans="3:4" ht="15">
      <c r="C33" s="5" t="s">
        <v>22</v>
      </c>
      <c r="D33" s="6"/>
    </row>
    <row r="34" spans="3:4" ht="15">
      <c r="C34" s="5" t="s">
        <v>23</v>
      </c>
      <c r="D34" s="6"/>
    </row>
    <row r="35" spans="3:4" ht="15">
      <c r="C35" s="5" t="s">
        <v>24</v>
      </c>
      <c r="D35" s="6"/>
    </row>
    <row r="36" spans="3:4" ht="15">
      <c r="C36" s="5" t="s">
        <v>25</v>
      </c>
      <c r="D36" s="6"/>
    </row>
    <row r="37" spans="3:4" ht="15">
      <c r="C37" s="5" t="s">
        <v>26</v>
      </c>
      <c r="D37" s="6"/>
    </row>
    <row r="38" spans="3:4" ht="15">
      <c r="C38" s="3" t="s">
        <v>27</v>
      </c>
      <c r="D38" s="4"/>
    </row>
    <row r="39" spans="3:4" ht="15">
      <c r="C39" s="5" t="s">
        <v>28</v>
      </c>
      <c r="D39" s="6"/>
    </row>
    <row r="40" spans="3:4" ht="15">
      <c r="C40" s="5" t="s">
        <v>29</v>
      </c>
      <c r="D40" s="6"/>
    </row>
    <row r="41" spans="3:4" ht="15">
      <c r="C41" s="5" t="s">
        <v>30</v>
      </c>
      <c r="D41" s="6"/>
    </row>
    <row r="42" spans="3:4" ht="15">
      <c r="C42" s="5" t="s">
        <v>31</v>
      </c>
      <c r="D42" s="6"/>
    </row>
    <row r="43" spans="3:4" ht="15">
      <c r="C43" s="5" t="s">
        <v>32</v>
      </c>
      <c r="D43" s="6"/>
    </row>
    <row r="44" spans="3:4" ht="15">
      <c r="C44" s="5" t="s">
        <v>33</v>
      </c>
      <c r="D44" s="6"/>
    </row>
    <row r="45" spans="3:4" ht="15">
      <c r="C45" s="5" t="s">
        <v>34</v>
      </c>
      <c r="D45" s="6"/>
    </row>
    <row r="46" spans="3:4" ht="15">
      <c r="C46" s="5" t="s">
        <v>35</v>
      </c>
      <c r="D46" s="6"/>
    </row>
    <row r="47" spans="3:4" ht="15">
      <c r="C47" s="3" t="s">
        <v>36</v>
      </c>
      <c r="D47" s="4"/>
    </row>
    <row r="48" spans="3:4" ht="15">
      <c r="C48" s="5" t="s">
        <v>37</v>
      </c>
      <c r="D48" s="6"/>
    </row>
    <row r="49" spans="3:4" ht="15">
      <c r="C49" s="5" t="s">
        <v>38</v>
      </c>
      <c r="D49" s="6"/>
    </row>
    <row r="50" spans="3:4" ht="15">
      <c r="C50" s="5" t="s">
        <v>39</v>
      </c>
      <c r="D50" s="6"/>
    </row>
    <row r="51" spans="3:4" ht="15">
      <c r="C51" s="5" t="s">
        <v>40</v>
      </c>
      <c r="D51" s="6"/>
    </row>
    <row r="52" spans="3:4" ht="15">
      <c r="C52" s="5" t="s">
        <v>41</v>
      </c>
      <c r="D52" s="6"/>
    </row>
    <row r="53" spans="3:4" ht="15">
      <c r="C53" s="5" t="s">
        <v>42</v>
      </c>
      <c r="D53" s="6"/>
    </row>
    <row r="54" spans="3:4" ht="15">
      <c r="C54" s="3" t="s">
        <v>43</v>
      </c>
      <c r="D54" s="4"/>
    </row>
    <row r="55" spans="3:4" ht="15">
      <c r="C55" s="5" t="s">
        <v>44</v>
      </c>
      <c r="D55" s="6"/>
    </row>
    <row r="56" spans="3:4" ht="15">
      <c r="C56" s="5" t="s">
        <v>45</v>
      </c>
      <c r="D56" s="6"/>
    </row>
    <row r="57" spans="3:4" ht="15">
      <c r="C57" s="5" t="s">
        <v>46</v>
      </c>
      <c r="D57" s="6"/>
    </row>
    <row r="58" spans="3:4" ht="15">
      <c r="C58" s="5" t="s">
        <v>47</v>
      </c>
      <c r="D58" s="6"/>
    </row>
    <row r="59" spans="3:4" ht="15">
      <c r="C59" s="5" t="s">
        <v>48</v>
      </c>
      <c r="D59" s="6"/>
    </row>
    <row r="60" spans="3:4" ht="15">
      <c r="C60" s="5" t="s">
        <v>49</v>
      </c>
      <c r="D60" s="6"/>
    </row>
    <row r="61" spans="3:4" ht="15">
      <c r="C61" s="5" t="s">
        <v>50</v>
      </c>
      <c r="D61" s="6"/>
    </row>
    <row r="62" spans="3:4" ht="15">
      <c r="C62" s="5" t="s">
        <v>51</v>
      </c>
      <c r="D62" s="6"/>
    </row>
    <row r="63" spans="3:4" ht="15">
      <c r="C63" s="5" t="s">
        <v>52</v>
      </c>
      <c r="D63" s="6"/>
    </row>
    <row r="64" spans="3:4" ht="15">
      <c r="C64" s="3" t="s">
        <v>53</v>
      </c>
      <c r="D64" s="4"/>
    </row>
    <row r="65" spans="3:4" ht="15">
      <c r="C65" s="5" t="s">
        <v>54</v>
      </c>
      <c r="D65" s="6"/>
    </row>
    <row r="66" spans="3:4" ht="15">
      <c r="C66" s="5" t="s">
        <v>55</v>
      </c>
      <c r="D66" s="6"/>
    </row>
    <row r="67" spans="3:4" ht="15">
      <c r="C67" s="5" t="s">
        <v>56</v>
      </c>
      <c r="D67" s="6"/>
    </row>
    <row r="68" spans="3:4" ht="15">
      <c r="C68" s="5" t="s">
        <v>57</v>
      </c>
      <c r="D68" s="6"/>
    </row>
    <row r="69" spans="3:4" ht="15">
      <c r="C69" s="3" t="s">
        <v>58</v>
      </c>
      <c r="D69" s="4"/>
    </row>
    <row r="70" spans="3:4" ht="15">
      <c r="C70" s="5" t="s">
        <v>59</v>
      </c>
      <c r="D70" s="6"/>
    </row>
    <row r="71" spans="3:4" ht="15">
      <c r="C71" s="5" t="s">
        <v>60</v>
      </c>
      <c r="D71" s="6"/>
    </row>
    <row r="72" spans="3:4" ht="15">
      <c r="C72" s="3" t="s">
        <v>61</v>
      </c>
      <c r="D72" s="4"/>
    </row>
    <row r="73" spans="3:4" ht="15">
      <c r="C73" s="5" t="s">
        <v>62</v>
      </c>
      <c r="D73" s="6"/>
    </row>
    <row r="74" spans="3:4" ht="15">
      <c r="C74" s="5" t="s">
        <v>63</v>
      </c>
      <c r="D74" s="6"/>
    </row>
    <row r="75" spans="3:4" ht="15">
      <c r="C75" s="5" t="s">
        <v>64</v>
      </c>
      <c r="D75" s="6"/>
    </row>
    <row r="76" spans="3:5" ht="15">
      <c r="C76" s="1" t="s">
        <v>69</v>
      </c>
      <c r="D76" s="2"/>
      <c r="E76" s="2"/>
    </row>
    <row r="77" spans="3:4" ht="15">
      <c r="C77" s="3" t="s">
        <v>70</v>
      </c>
      <c r="D77" s="4"/>
    </row>
    <row r="78" spans="3:4" ht="15">
      <c r="C78" s="5" t="s">
        <v>71</v>
      </c>
      <c r="D78" s="6"/>
    </row>
    <row r="79" spans="3:4" ht="15">
      <c r="C79" s="5" t="s">
        <v>72</v>
      </c>
      <c r="D79" s="6"/>
    </row>
    <row r="80" spans="3:4" ht="15">
      <c r="C80" s="3" t="s">
        <v>73</v>
      </c>
      <c r="D80" s="4"/>
    </row>
    <row r="81" spans="3:4" ht="15">
      <c r="C81" s="5" t="s">
        <v>74</v>
      </c>
      <c r="D81" s="6"/>
    </row>
    <row r="82" spans="3:4" ht="15">
      <c r="C82" s="5" t="s">
        <v>75</v>
      </c>
      <c r="D82" s="6"/>
    </row>
    <row r="83" spans="3:4" ht="15">
      <c r="C83" s="3" t="s">
        <v>76</v>
      </c>
      <c r="D83" s="4"/>
    </row>
    <row r="84" spans="3:4" ht="15">
      <c r="C84" s="5" t="s">
        <v>77</v>
      </c>
      <c r="D84" s="6"/>
    </row>
    <row r="85" spans="3:5" ht="15">
      <c r="C85" s="10" t="s">
        <v>65</v>
      </c>
      <c r="D85" s="9"/>
      <c r="E85" s="9"/>
    </row>
    <row r="90" ht="15.75" thickBot="1"/>
    <row r="91" ht="26.25" customHeight="1" thickBot="1">
      <c r="C91" s="30" t="s">
        <v>98</v>
      </c>
    </row>
    <row r="92" ht="33.75" customHeight="1" thickBot="1">
      <c r="C92" s="28" t="s">
        <v>99</v>
      </c>
    </row>
    <row r="93" ht="45.75" thickBot="1">
      <c r="C93" s="29" t="s">
        <v>100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S95"/>
  <sheetViews>
    <sheetView showGridLines="0" tabSelected="1" zoomScalePageLayoutView="0" workbookViewId="0" topLeftCell="E84">
      <selection activeCell="J91" sqref="J91"/>
    </sheetView>
  </sheetViews>
  <sheetFormatPr defaultColWidth="11.421875" defaultRowHeight="15"/>
  <cols>
    <col min="3" max="3" width="93.7109375" style="0" bestFit="1" customWidth="1"/>
    <col min="4" max="4" width="22.00390625" style="0" bestFit="1" customWidth="1"/>
    <col min="5" max="5" width="23.421875" style="0" bestFit="1" customWidth="1"/>
    <col min="6" max="6" width="12.8515625" style="0" bestFit="1" customWidth="1"/>
    <col min="7" max="15" width="13.140625" style="0" bestFit="1" customWidth="1"/>
    <col min="16" max="16" width="13.57421875" style="0" bestFit="1" customWidth="1"/>
    <col min="17" max="17" width="10.140625" style="0" bestFit="1" customWidth="1"/>
    <col min="18" max="18" width="14.140625" style="0" bestFit="1" customWidth="1"/>
  </cols>
  <sheetData>
    <row r="3" spans="3:18" ht="28.5" customHeight="1"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8" ht="21" customHeight="1"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1" customHeight="1"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3:18" ht="15.75">
      <c r="C6" s="40" t="s">
        <v>101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3:18" ht="15.75" customHeight="1">
      <c r="C7" s="35" t="s">
        <v>95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3:18" ht="15.75" customHeight="1">
      <c r="C8" s="36" t="s">
        <v>80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3:18" ht="25.5" customHeight="1">
      <c r="C10" s="37" t="s">
        <v>66</v>
      </c>
      <c r="D10" s="38" t="s">
        <v>97</v>
      </c>
      <c r="E10" s="38" t="s">
        <v>96</v>
      </c>
      <c r="F10" s="42" t="s">
        <v>94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3:18" ht="15">
      <c r="C11" s="37"/>
      <c r="D11" s="39"/>
      <c r="E11" s="39"/>
      <c r="F11" s="16" t="s">
        <v>82</v>
      </c>
      <c r="G11" s="16" t="s">
        <v>83</v>
      </c>
      <c r="H11" s="16" t="s">
        <v>84</v>
      </c>
      <c r="I11" s="16" t="s">
        <v>85</v>
      </c>
      <c r="J11" s="18" t="s">
        <v>86</v>
      </c>
      <c r="K11" s="16" t="s">
        <v>87</v>
      </c>
      <c r="L11" s="18" t="s">
        <v>88</v>
      </c>
      <c r="M11" s="16" t="s">
        <v>89</v>
      </c>
      <c r="N11" s="16" t="s">
        <v>90</v>
      </c>
      <c r="O11" s="16" t="s">
        <v>91</v>
      </c>
      <c r="P11" s="16" t="s">
        <v>92</v>
      </c>
      <c r="Q11" s="18" t="s">
        <v>93</v>
      </c>
      <c r="R11" s="16" t="s">
        <v>81</v>
      </c>
    </row>
    <row r="12" spans="3:18" ht="15">
      <c r="C12" s="1" t="s">
        <v>0</v>
      </c>
      <c r="D12" s="2"/>
      <c r="E12" s="2"/>
      <c r="F12" s="45">
        <f>+F13+F19</f>
        <v>2631933.45</v>
      </c>
      <c r="G12" s="45">
        <f>+G13+G19+G29+G39</f>
        <v>2922539.38</v>
      </c>
      <c r="H12" s="45">
        <f>+H13+H19+H29</f>
        <v>5015686.13</v>
      </c>
      <c r="I12" s="45">
        <f>+I13+I19+I29</f>
        <v>5595210.07</v>
      </c>
      <c r="J12" s="45">
        <f>+J13+J19+J29</f>
        <v>4369436.49</v>
      </c>
      <c r="K12" s="45">
        <f>+K13+K19+K29+K80+K55</f>
        <v>5024962.53</v>
      </c>
      <c r="L12" s="45">
        <f>+L13+L19+L29+L55</f>
        <v>4044874.8099999996</v>
      </c>
      <c r="M12" s="45">
        <f>+M13+M19+M29+M55</f>
        <v>6857826.333</v>
      </c>
      <c r="N12" s="45">
        <f>+N13+N19+N29+N55</f>
        <v>4768580.56</v>
      </c>
      <c r="O12" s="45">
        <f>+O13+O19+O29+O55</f>
        <v>5619232.38</v>
      </c>
      <c r="P12" s="45">
        <f>+P13+P19+P29+P39+P55+P80</f>
        <v>10581032.65</v>
      </c>
      <c r="Q12" s="45"/>
      <c r="R12" s="46">
        <f>+F12+G12+H12+I12+J12+K12+L12+M12+N12+O12+P12+Q12</f>
        <v>57431314.78300001</v>
      </c>
    </row>
    <row r="13" spans="3:18" ht="15">
      <c r="C13" s="3" t="s">
        <v>1</v>
      </c>
      <c r="D13" s="55">
        <f>+D14+D15+D16+D17+D18</f>
        <v>45974298</v>
      </c>
      <c r="E13" s="4"/>
      <c r="F13" s="47">
        <f>+F14+F15+F18</f>
        <v>2507018.2</v>
      </c>
      <c r="G13" s="48">
        <f>+G14+G15+G18</f>
        <v>2373573.88</v>
      </c>
      <c r="H13" s="48">
        <f>+H14+H15+H18</f>
        <v>2408577.61</v>
      </c>
      <c r="I13" s="48">
        <f>+I14+I15+I18</f>
        <v>3382747.52</v>
      </c>
      <c r="J13" s="48">
        <f>+J14+J15+J17+J18</f>
        <v>2463351.77</v>
      </c>
      <c r="K13" s="48">
        <f>+K14+K15+K18</f>
        <v>2682680.48</v>
      </c>
      <c r="L13" s="48">
        <f>+L14+L15+L18</f>
        <v>2851991.26</v>
      </c>
      <c r="M13" s="48">
        <f>+M14+M15+M17+M18</f>
        <v>5291792.92</v>
      </c>
      <c r="N13" s="48">
        <f>+N14+N15+N18</f>
        <v>2724586.59</v>
      </c>
      <c r="O13" s="48">
        <f>+O14+O15+O18</f>
        <v>3007319.58</v>
      </c>
      <c r="P13" s="48">
        <f>+P14+P15+P17+P18</f>
        <v>7472509.0600000005</v>
      </c>
      <c r="Q13" s="49"/>
      <c r="R13" s="46">
        <f aca="true" t="shared" si="0" ref="R13:R76">+F13+G13+H13+I13+J13+K13+L13+M13+N13+O13+P13+Q13</f>
        <v>37166148.870000005</v>
      </c>
    </row>
    <row r="14" spans="3:18" ht="15">
      <c r="C14" s="5" t="s">
        <v>2</v>
      </c>
      <c r="D14" s="60">
        <f>32590200+450000+2715850+120000</f>
        <v>35876050</v>
      </c>
      <c r="E14" s="6"/>
      <c r="F14" s="50">
        <f>2099050+85000</f>
        <v>2184050</v>
      </c>
      <c r="G14" s="51">
        <f>1983150+85000</f>
        <v>2068150</v>
      </c>
      <c r="H14" s="49">
        <f>2017400+95000</f>
        <v>2112400</v>
      </c>
      <c r="I14" s="49">
        <f>2001650+137500+95000+62700+771273.66</f>
        <v>3068123.66</v>
      </c>
      <c r="J14" s="49">
        <f>2009983.33+63324.84+95000</f>
        <v>2168308.17</v>
      </c>
      <c r="K14" s="49">
        <f>2012550+21000+55000+125000+118458.7</f>
        <v>2332008.7</v>
      </c>
      <c r="L14" s="49">
        <f>2032500+270000+55000+125000</f>
        <v>2482500</v>
      </c>
      <c r="M14" s="49">
        <f>2044050+318666.67+215000+2061600+273350</f>
        <v>4912666.67</v>
      </c>
      <c r="N14" s="49">
        <f>2044050+195000+125000</f>
        <v>2364050</v>
      </c>
      <c r="O14" s="49">
        <f>2309050+195000+125000</f>
        <v>2629050</v>
      </c>
      <c r="P14" s="49">
        <f>2244050+125000+125000</f>
        <v>2494050</v>
      </c>
      <c r="Q14" s="49"/>
      <c r="R14" s="46">
        <f t="shared" si="0"/>
        <v>28815357.200000003</v>
      </c>
    </row>
    <row r="15" spans="3:18" ht="15">
      <c r="C15" s="5" t="s">
        <v>3</v>
      </c>
      <c r="D15" s="60">
        <v>5397000</v>
      </c>
      <c r="E15" s="6"/>
      <c r="F15" s="52">
        <v>19000</v>
      </c>
      <c r="G15" s="46">
        <v>19000</v>
      </c>
      <c r="H15" s="49">
        <v>19000</v>
      </c>
      <c r="I15" s="49">
        <v>19000</v>
      </c>
      <c r="J15" s="49">
        <v>19000</v>
      </c>
      <c r="K15" s="49">
        <v>62700</v>
      </c>
      <c r="L15" s="49">
        <v>41800</v>
      </c>
      <c r="M15" s="49">
        <v>41800</v>
      </c>
      <c r="N15" s="49">
        <v>41800</v>
      </c>
      <c r="O15" s="49">
        <v>23686.67</v>
      </c>
      <c r="P15" s="49">
        <v>20900</v>
      </c>
      <c r="R15" s="46">
        <f t="shared" si="0"/>
        <v>327686.67</v>
      </c>
    </row>
    <row r="16" spans="3:19" ht="15">
      <c r="C16" s="5" t="s">
        <v>4</v>
      </c>
      <c r="D16" s="60">
        <v>50000</v>
      </c>
      <c r="E16" s="6"/>
      <c r="F16" s="52"/>
      <c r="G16" s="46"/>
      <c r="H16" s="49"/>
      <c r="J16" s="49"/>
      <c r="K16" s="49"/>
      <c r="L16" s="49"/>
      <c r="R16" s="46">
        <f t="shared" si="0"/>
        <v>0</v>
      </c>
      <c r="S16" s="19"/>
    </row>
    <row r="17" spans="3:18" ht="15">
      <c r="C17" s="5" t="s">
        <v>5</v>
      </c>
      <c r="D17" s="60">
        <v>40000</v>
      </c>
      <c r="E17" s="6"/>
      <c r="F17" s="52"/>
      <c r="G17" s="46"/>
      <c r="H17" s="49"/>
      <c r="J17" s="49"/>
      <c r="K17" s="49"/>
      <c r="M17" s="49"/>
      <c r="P17" s="49">
        <f>2332636.39+2290691.94</f>
        <v>4623328.33</v>
      </c>
      <c r="R17" s="46">
        <f t="shared" si="0"/>
        <v>4623328.33</v>
      </c>
    </row>
    <row r="18" spans="3:18" ht="15">
      <c r="C18" s="5" t="s">
        <v>6</v>
      </c>
      <c r="D18" s="60">
        <f>2033217+221526+2356505</f>
        <v>4611248</v>
      </c>
      <c r="E18" s="6"/>
      <c r="F18" s="53">
        <f>133882.61+155067.55+15018.04</f>
        <v>303968.19999999995</v>
      </c>
      <c r="G18" s="54">
        <f>125665.3+146838.65+13919.93</f>
        <v>286423.88</v>
      </c>
      <c r="H18" s="49">
        <f>12951.34+143235.4+120990.87</f>
        <v>277177.61</v>
      </c>
      <c r="I18" s="49">
        <f>129622.94+151879.65+14121.27</f>
        <v>295623.86</v>
      </c>
      <c r="J18" s="49">
        <f>120465.02+142708.82+12869.76</f>
        <v>276043.60000000003</v>
      </c>
      <c r="K18" s="49">
        <f>126035.4+148287.05+13649.33</f>
        <v>287971.77999999997</v>
      </c>
      <c r="L18" s="49">
        <f>145109.96+167382.5+15198.8</f>
        <v>327691.25999999995</v>
      </c>
      <c r="M18" s="49">
        <f>152556.72+167752.88+17016.65</f>
        <v>337326.25</v>
      </c>
      <c r="N18" s="49">
        <f>143788.75+158972.55+15975.29</f>
        <v>318736.58999999997</v>
      </c>
      <c r="O18" s="49">
        <f>159447.65+177787.55+17347.71</f>
        <v>354582.91</v>
      </c>
      <c r="P18" s="49">
        <f>149886.15+168202.55+16142.03</f>
        <v>334230.73</v>
      </c>
      <c r="R18" s="46">
        <f t="shared" si="0"/>
        <v>3399776.67</v>
      </c>
    </row>
    <row r="19" spans="3:18" ht="15">
      <c r="C19" s="3" t="s">
        <v>7</v>
      </c>
      <c r="D19" s="58">
        <f>+D20+D21+D22+D23+D24+D25+D26+D27+D28</f>
        <v>18936581</v>
      </c>
      <c r="E19" s="4"/>
      <c r="F19" s="55">
        <f>+F20+F24</f>
        <v>124915.25</v>
      </c>
      <c r="G19" s="56">
        <f>+G20+G23+G25+G26+G27+G28</f>
        <v>432965.5</v>
      </c>
      <c r="H19" s="48">
        <f>+H20+H21+H23+H24+H27+H28</f>
        <v>2337076.52</v>
      </c>
      <c r="I19" s="48">
        <f>+I20+I21+I23+I24+I25+I26+I27+I28</f>
        <v>2033357.8499999999</v>
      </c>
      <c r="J19" s="48">
        <f>+J20+J21+J23+J24+J25+J27+J28</f>
        <v>1474466.8900000001</v>
      </c>
      <c r="K19" s="56">
        <f>+K20+K21+K24+K25+K27+K28</f>
        <v>1682428.1800000002</v>
      </c>
      <c r="L19" s="56">
        <f>+L20+L21+L24+L25+L27+L28</f>
        <v>843069.42</v>
      </c>
      <c r="M19" s="56">
        <f>+M20+M21+M24+M25+M26+M27+M28</f>
        <v>1366693.363</v>
      </c>
      <c r="N19" s="48">
        <f>+N20+N21+N24+N25+N26+N27+N28</f>
        <v>1621324.3699999999</v>
      </c>
      <c r="O19" s="56">
        <f>+O20+O21+O24+O25+O26+O27+O28</f>
        <v>2178431.04</v>
      </c>
      <c r="P19" s="56">
        <f>+P20+P21+P23+P24+P25+P26+P27+P28</f>
        <v>2417405.8399999994</v>
      </c>
      <c r="R19" s="46">
        <f t="shared" si="0"/>
        <v>16512134.222999997</v>
      </c>
    </row>
    <row r="20" spans="3:18" ht="15">
      <c r="C20" s="5" t="s">
        <v>8</v>
      </c>
      <c r="D20" s="60">
        <f>24000+1380000+100000+72000+780000+8400+36000</f>
        <v>2400400</v>
      </c>
      <c r="E20" s="6"/>
      <c r="F20" s="57">
        <f>67901.05+4578.23+52316.97+119</f>
        <v>124915.25</v>
      </c>
      <c r="G20" s="46">
        <f>17326.99+4572.11+59814.57</f>
        <v>81713.67</v>
      </c>
      <c r="H20" s="49">
        <f>53485.88+9293.09+37327.57+2963</f>
        <v>103069.54000000001</v>
      </c>
      <c r="I20" s="49">
        <f>952+400+52334.61+4551.06+85190.13</f>
        <v>143427.8</v>
      </c>
      <c r="J20" s="49">
        <f>69776.87+4557.27+51386.22</f>
        <v>125720.36</v>
      </c>
      <c r="K20" s="49">
        <f>15095.14+23083.36+4548.02+53254.17</f>
        <v>95980.69</v>
      </c>
      <c r="L20" s="49">
        <f>1904+58877.37+4437.61+121695.78</f>
        <v>186914.76</v>
      </c>
      <c r="M20" s="49">
        <f>1955+56069.34+4564.64+45631.63+70364.31</f>
        <v>178584.91999999998</v>
      </c>
      <c r="N20" s="49">
        <f>68992.24+4536.77+59819.01+2800</f>
        <v>136148.02000000002</v>
      </c>
      <c r="O20" s="49">
        <f>58505.97+4516.73+90939.68+73075.48</f>
        <v>227037.86</v>
      </c>
      <c r="P20" s="49">
        <f>786+62534.58+4520.23+27653.9+72573.01</f>
        <v>168067.71999999997</v>
      </c>
      <c r="R20" s="46">
        <f t="shared" si="0"/>
        <v>1571580.59</v>
      </c>
    </row>
    <row r="21" spans="3:18" ht="15">
      <c r="C21" s="5" t="s">
        <v>9</v>
      </c>
      <c r="D21" s="60">
        <f>499999+8000</f>
        <v>507999</v>
      </c>
      <c r="E21" s="6"/>
      <c r="F21" s="52"/>
      <c r="G21" s="46"/>
      <c r="H21" s="49">
        <v>12499.98</v>
      </c>
      <c r="I21" s="49">
        <f>29500+4166.66</f>
        <v>33666.66</v>
      </c>
      <c r="J21" s="49">
        <v>4166.66</v>
      </c>
      <c r="K21" s="49">
        <v>446666.66</v>
      </c>
      <c r="L21" s="49">
        <v>4166.66</v>
      </c>
      <c r="M21" s="49">
        <v>4166.66</v>
      </c>
      <c r="N21" s="49">
        <v>446666.66</v>
      </c>
      <c r="O21" s="49">
        <v>4166.66</v>
      </c>
      <c r="P21" s="49">
        <v>29410.4</v>
      </c>
      <c r="R21" s="46">
        <f t="shared" si="0"/>
        <v>985577</v>
      </c>
    </row>
    <row r="22" spans="3:18" ht="15">
      <c r="C22" s="5" t="s">
        <v>10</v>
      </c>
      <c r="D22" s="60">
        <f>30000+800000</f>
        <v>830000</v>
      </c>
      <c r="E22" s="6"/>
      <c r="F22" s="52"/>
      <c r="G22" s="46"/>
      <c r="H22" s="49"/>
      <c r="I22" s="49"/>
      <c r="J22" s="49"/>
      <c r="K22" s="49"/>
      <c r="L22" s="49"/>
      <c r="N22" s="49"/>
      <c r="O22" s="49"/>
      <c r="R22" s="46">
        <f t="shared" si="0"/>
        <v>0</v>
      </c>
    </row>
    <row r="23" spans="3:18" ht="15">
      <c r="C23" s="5" t="s">
        <v>11</v>
      </c>
      <c r="D23" s="60">
        <v>997500</v>
      </c>
      <c r="E23" s="6"/>
      <c r="F23" s="52"/>
      <c r="G23" s="46"/>
      <c r="H23" s="49">
        <v>66770</v>
      </c>
      <c r="I23" s="49">
        <v>48675</v>
      </c>
      <c r="J23" s="49">
        <v>37950</v>
      </c>
      <c r="K23" s="49"/>
      <c r="L23" s="49"/>
      <c r="M23" s="49"/>
      <c r="N23" s="49"/>
      <c r="O23" s="49"/>
      <c r="P23" s="49">
        <v>168061</v>
      </c>
      <c r="R23" s="46">
        <f t="shared" si="0"/>
        <v>321456</v>
      </c>
    </row>
    <row r="24" spans="3:18" ht="15">
      <c r="C24" s="5" t="s">
        <v>12</v>
      </c>
      <c r="D24" s="60">
        <f>6587137+50000</f>
        <v>6637137</v>
      </c>
      <c r="E24" s="6"/>
      <c r="F24" s="57"/>
      <c r="G24" s="46"/>
      <c r="H24" s="49">
        <v>1645392</v>
      </c>
      <c r="I24" s="49">
        <v>543744</v>
      </c>
      <c r="J24" s="49">
        <f>542800+51494.04</f>
        <v>594294.04</v>
      </c>
      <c r="K24" s="49">
        <f>542800+99808.31</f>
        <v>642608.31</v>
      </c>
      <c r="L24" s="49">
        <v>542800</v>
      </c>
      <c r="M24" s="49">
        <v>542800</v>
      </c>
      <c r="N24" s="49">
        <v>539968</v>
      </c>
      <c r="O24" s="49">
        <f>536664+15328.78</f>
        <v>551992.78</v>
      </c>
      <c r="P24" s="49">
        <v>536664</v>
      </c>
      <c r="R24" s="46">
        <f t="shared" si="0"/>
        <v>6140263.13</v>
      </c>
    </row>
    <row r="25" spans="3:18" ht="15">
      <c r="C25" s="5" t="s">
        <v>13</v>
      </c>
      <c r="D25" s="60">
        <f>240000+2371945</f>
        <v>2611945</v>
      </c>
      <c r="E25" s="6"/>
      <c r="F25" s="52"/>
      <c r="G25" s="46">
        <f>76139.07+275112.76</f>
        <v>351251.83</v>
      </c>
      <c r="H25" s="49"/>
      <c r="I25" s="49">
        <f>240546.73+131982.62</f>
        <v>372529.35</v>
      </c>
      <c r="J25" s="49">
        <v>135558.83</v>
      </c>
      <c r="K25" s="49">
        <v>135541.07</v>
      </c>
      <c r="L25" s="49"/>
      <c r="M25" s="49">
        <v>319442.05</v>
      </c>
      <c r="N25" s="49">
        <v>179584.15</v>
      </c>
      <c r="O25" s="49">
        <v>186725.67</v>
      </c>
      <c r="P25" s="49">
        <v>182282.56</v>
      </c>
      <c r="R25" s="46">
        <f t="shared" si="0"/>
        <v>1862915.5099999998</v>
      </c>
    </row>
    <row r="26" spans="3:18" ht="15">
      <c r="C26" s="5" t="s">
        <v>14</v>
      </c>
      <c r="D26" s="60">
        <f>75000+305000</f>
        <v>380000</v>
      </c>
      <c r="E26" s="6"/>
      <c r="F26" s="52"/>
      <c r="G26" s="46"/>
      <c r="H26" s="49"/>
      <c r="I26" s="49">
        <v>20750.9</v>
      </c>
      <c r="J26" s="49"/>
      <c r="K26" s="49"/>
      <c r="L26" s="49"/>
      <c r="M26">
        <f>12980+8229.773</f>
        <v>21209.773</v>
      </c>
      <c r="N26" s="49">
        <f>51448+4074.54</f>
        <v>55522.54</v>
      </c>
      <c r="O26" s="49">
        <f>56522+17729.04</f>
        <v>74251.04000000001</v>
      </c>
      <c r="P26" s="49">
        <f>214328.12+113103</f>
        <v>327431.12</v>
      </c>
      <c r="R26" s="46">
        <f t="shared" si="0"/>
        <v>499165.373</v>
      </c>
    </row>
    <row r="27" spans="3:18" ht="15">
      <c r="C27" s="5" t="s">
        <v>15</v>
      </c>
      <c r="D27" s="60">
        <f>6000+86000+755000+2742600</f>
        <v>3589600</v>
      </c>
      <c r="E27" s="6"/>
      <c r="F27" s="52"/>
      <c r="G27" s="46"/>
      <c r="H27" s="49">
        <f>189375+305620</f>
        <v>494995</v>
      </c>
      <c r="I27" s="49">
        <f>731724+86287.5+6136</f>
        <v>824147.5</v>
      </c>
      <c r="J27" s="49">
        <f>450937+35400+26880+8260</f>
        <v>521477</v>
      </c>
      <c r="K27" s="49">
        <f>260320+15340+82157.45+2714</f>
        <v>360531.45</v>
      </c>
      <c r="L27" s="49">
        <f>8260+3540+87320</f>
        <v>99120</v>
      </c>
      <c r="M27" s="49">
        <f>14750+276120</f>
        <v>290870</v>
      </c>
      <c r="N27" s="49">
        <f>28320+208211</f>
        <v>236531</v>
      </c>
      <c r="O27" s="49">
        <f>396721.03+358580+49560</f>
        <v>804861.03</v>
      </c>
      <c r="P27" s="49">
        <f>130000+111168.6+15340+94680+418018.04</f>
        <v>769206.6399999999</v>
      </c>
      <c r="R27" s="46">
        <f t="shared" si="0"/>
        <v>4401739.62</v>
      </c>
    </row>
    <row r="28" spans="3:18" ht="15">
      <c r="C28" s="5" t="s">
        <v>16</v>
      </c>
      <c r="D28" s="52">
        <v>982000</v>
      </c>
      <c r="E28" s="6"/>
      <c r="F28" s="52"/>
      <c r="G28" s="46"/>
      <c r="H28" s="49">
        <v>14350</v>
      </c>
      <c r="I28" s="49">
        <v>46416.64</v>
      </c>
      <c r="J28" s="49">
        <f>53100+2200</f>
        <v>55300</v>
      </c>
      <c r="K28" s="49">
        <v>1100</v>
      </c>
      <c r="L28" s="49">
        <v>10068</v>
      </c>
      <c r="M28" s="49">
        <v>9619.96</v>
      </c>
      <c r="N28" s="49">
        <v>26904</v>
      </c>
      <c r="O28" s="49">
        <f>322376+7020</f>
        <v>329396</v>
      </c>
      <c r="P28" s="49">
        <f>51330+184952.4</f>
        <v>236282.4</v>
      </c>
      <c r="R28" s="46">
        <f t="shared" si="0"/>
        <v>729437</v>
      </c>
    </row>
    <row r="29" spans="3:18" ht="15">
      <c r="C29" s="3" t="s">
        <v>17</v>
      </c>
      <c r="D29" s="58">
        <f>+D30+D31+D32+D33+D34+D35+D36+D38</f>
        <v>4726500</v>
      </c>
      <c r="E29" s="4"/>
      <c r="F29" s="58"/>
      <c r="G29" s="56">
        <f>+G36</f>
        <v>116000</v>
      </c>
      <c r="H29" s="48">
        <f>+H30+H34+H36</f>
        <v>270032</v>
      </c>
      <c r="I29" s="48">
        <f>+I36+I38</f>
        <v>179104.7</v>
      </c>
      <c r="J29" s="48">
        <f>+J30+J32+J33+J34+J38</f>
        <v>431617.83</v>
      </c>
      <c r="K29" s="56">
        <f>+K36+K38</f>
        <v>301746.12</v>
      </c>
      <c r="L29" s="56">
        <f>+L36+L38+L30+L32</f>
        <v>149571.5</v>
      </c>
      <c r="M29" s="56">
        <f>+M32+M33+M36+M38</f>
        <v>199340.05</v>
      </c>
      <c r="N29" s="56">
        <f>+N31+N32+N34+N36+N38</f>
        <v>422669.6</v>
      </c>
      <c r="O29" s="56">
        <f>+O32+O34+O36+O38</f>
        <v>207744</v>
      </c>
      <c r="P29" s="56">
        <f>+P30+P31+P32+P34+P36+P38</f>
        <v>277790.82</v>
      </c>
      <c r="R29" s="56">
        <f t="shared" si="0"/>
        <v>2555616.6199999996</v>
      </c>
    </row>
    <row r="30" spans="3:18" ht="15">
      <c r="C30" s="5" t="s">
        <v>18</v>
      </c>
      <c r="D30" s="60">
        <f>131697+80000</f>
        <v>211697</v>
      </c>
      <c r="E30" s="6"/>
      <c r="F30" s="52"/>
      <c r="G30" s="46"/>
      <c r="H30" s="49">
        <f>2015+31017</f>
        <v>33032</v>
      </c>
      <c r="I30" s="49"/>
      <c r="J30" s="49">
        <v>16382</v>
      </c>
      <c r="K30" s="49"/>
      <c r="L30" s="49">
        <v>3480</v>
      </c>
      <c r="M30" s="49"/>
      <c r="N30" s="49"/>
      <c r="O30" s="49"/>
      <c r="P30" s="49">
        <v>3989</v>
      </c>
      <c r="R30" s="46">
        <f t="shared" si="0"/>
        <v>56883</v>
      </c>
    </row>
    <row r="31" spans="3:18" ht="15">
      <c r="C31" s="5" t="s">
        <v>19</v>
      </c>
      <c r="D31" s="60">
        <f>12000+53500</f>
        <v>65500</v>
      </c>
      <c r="E31" s="6"/>
      <c r="F31" s="52"/>
      <c r="G31" s="46"/>
      <c r="H31" s="49"/>
      <c r="J31" s="49"/>
      <c r="K31" s="49"/>
      <c r="L31" s="49"/>
      <c r="M31" s="49"/>
      <c r="N31">
        <v>14970</v>
      </c>
      <c r="O31" s="49"/>
      <c r="P31">
        <v>3200.16</v>
      </c>
      <c r="R31" s="46">
        <f t="shared" si="0"/>
        <v>18170.16</v>
      </c>
    </row>
    <row r="32" spans="3:18" ht="15">
      <c r="C32" s="5" t="s">
        <v>20</v>
      </c>
      <c r="D32" s="60">
        <f>67968+561050+40000+27000</f>
        <v>696018</v>
      </c>
      <c r="E32" s="6"/>
      <c r="F32" s="52"/>
      <c r="G32" s="46"/>
      <c r="H32" s="49"/>
      <c r="I32" s="49"/>
      <c r="J32" s="49">
        <v>16461</v>
      </c>
      <c r="K32" s="49"/>
      <c r="L32" s="49">
        <f>5428+1300</f>
        <v>6728</v>
      </c>
      <c r="M32" s="49">
        <v>6608</v>
      </c>
      <c r="N32">
        <f>6200+4500+11800+54489</f>
        <v>76989</v>
      </c>
      <c r="O32" s="49">
        <v>34280</v>
      </c>
      <c r="P32" s="49">
        <f>14160+2655+4720</f>
        <v>21535</v>
      </c>
      <c r="R32" s="46">
        <f t="shared" si="0"/>
        <v>162601</v>
      </c>
    </row>
    <row r="33" spans="3:18" ht="15">
      <c r="C33" s="5" t="s">
        <v>21</v>
      </c>
      <c r="D33" s="60">
        <v>6000</v>
      </c>
      <c r="E33" s="6"/>
      <c r="F33" s="52"/>
      <c r="H33" s="49"/>
      <c r="I33" s="49"/>
      <c r="J33" s="49">
        <v>3450</v>
      </c>
      <c r="L33" s="49"/>
      <c r="M33" s="49">
        <v>10350</v>
      </c>
      <c r="R33" s="46">
        <f t="shared" si="0"/>
        <v>13800</v>
      </c>
    </row>
    <row r="34" spans="3:18" ht="15">
      <c r="C34" s="5" t="s">
        <v>22</v>
      </c>
      <c r="D34" s="60">
        <f>125000+46660</f>
        <v>171660</v>
      </c>
      <c r="E34" s="6"/>
      <c r="F34" s="52"/>
      <c r="H34" s="49">
        <v>5000</v>
      </c>
      <c r="I34" s="49"/>
      <c r="J34" s="49">
        <v>17582</v>
      </c>
      <c r="L34" s="49"/>
      <c r="M34" s="49"/>
      <c r="N34" s="49">
        <v>10025.28</v>
      </c>
      <c r="O34" s="49">
        <v>10797</v>
      </c>
      <c r="P34" s="49">
        <v>1800</v>
      </c>
      <c r="R34" s="46">
        <f t="shared" si="0"/>
        <v>45204.28</v>
      </c>
    </row>
    <row r="35" spans="3:18" ht="15">
      <c r="C35" s="5" t="s">
        <v>23</v>
      </c>
      <c r="D35" s="60">
        <v>19420</v>
      </c>
      <c r="E35" s="6"/>
      <c r="F35" s="52"/>
      <c r="H35" s="49"/>
      <c r="I35" s="49"/>
      <c r="J35" s="49"/>
      <c r="L35" s="49"/>
      <c r="M35" s="49"/>
      <c r="O35" s="49"/>
      <c r="R35" s="46">
        <f t="shared" si="0"/>
        <v>0</v>
      </c>
    </row>
    <row r="36" spans="3:18" ht="15">
      <c r="C36" s="5" t="s">
        <v>24</v>
      </c>
      <c r="D36" s="60">
        <f>1855000+35600</f>
        <v>1890600</v>
      </c>
      <c r="E36" s="6"/>
      <c r="F36" s="52"/>
      <c r="G36" s="49">
        <v>116000</v>
      </c>
      <c r="H36" s="49">
        <v>232000</v>
      </c>
      <c r="I36" s="49">
        <v>74000</v>
      </c>
      <c r="J36" s="49"/>
      <c r="K36" s="49">
        <v>282000</v>
      </c>
      <c r="L36" s="49">
        <v>126000</v>
      </c>
      <c r="M36" s="49">
        <v>126000</v>
      </c>
      <c r="N36" s="49">
        <f>136000+24992.4</f>
        <v>160992.4</v>
      </c>
      <c r="O36" s="49">
        <v>156000</v>
      </c>
      <c r="P36" s="49">
        <v>146000</v>
      </c>
      <c r="R36" s="46">
        <f t="shared" si="0"/>
        <v>1418992.4</v>
      </c>
    </row>
    <row r="37" spans="3:18" ht="15">
      <c r="C37" s="5" t="s">
        <v>25</v>
      </c>
      <c r="D37" s="61"/>
      <c r="E37" s="6"/>
      <c r="F37" s="52"/>
      <c r="G37" s="49"/>
      <c r="H37" s="49"/>
      <c r="I37" s="49"/>
      <c r="J37" s="49"/>
      <c r="L37" s="49"/>
      <c r="M37" s="49"/>
      <c r="R37" s="46">
        <f t="shared" si="0"/>
        <v>0</v>
      </c>
    </row>
    <row r="38" spans="3:18" ht="15">
      <c r="C38" s="5" t="s">
        <v>26</v>
      </c>
      <c r="D38" s="60">
        <f>100000+301805+435000+24800+20000+784000</f>
        <v>1665605</v>
      </c>
      <c r="E38" s="6"/>
      <c r="F38" s="52"/>
      <c r="G38" s="49"/>
      <c r="H38" s="49"/>
      <c r="I38" s="49">
        <f>46020+2250+51878.7+4956</f>
        <v>105104.7</v>
      </c>
      <c r="J38" s="49">
        <f>35140.13+315504+27098.7</f>
        <v>377742.83</v>
      </c>
      <c r="K38">
        <v>19746.12</v>
      </c>
      <c r="L38" s="49">
        <f>1681.5+3097.5+1416+7168.5</f>
        <v>13363.5</v>
      </c>
      <c r="M38" s="49">
        <v>56382.05</v>
      </c>
      <c r="N38" s="49">
        <f>7596.84+12731+115935+21834.72+1595.36</f>
        <v>159692.91999999998</v>
      </c>
      <c r="O38" s="49">
        <v>6667</v>
      </c>
      <c r="P38" s="49">
        <f>94787.93+6478.73</f>
        <v>101266.65999999999</v>
      </c>
      <c r="R38" s="46">
        <f t="shared" si="0"/>
        <v>839965.7800000001</v>
      </c>
    </row>
    <row r="39" spans="3:18" ht="15">
      <c r="C39" s="3" t="s">
        <v>27</v>
      </c>
      <c r="D39" s="58"/>
      <c r="E39" s="4"/>
      <c r="F39" s="58"/>
      <c r="G39" s="48"/>
      <c r="H39" s="49"/>
      <c r="J39" s="48"/>
      <c r="P39" s="56"/>
      <c r="R39" s="59">
        <f t="shared" si="0"/>
        <v>0</v>
      </c>
    </row>
    <row r="40" spans="3:18" ht="15">
      <c r="C40" s="5" t="s">
        <v>28</v>
      </c>
      <c r="D40" s="52"/>
      <c r="E40" s="6"/>
      <c r="F40" s="52"/>
      <c r="G40" s="49"/>
      <c r="H40" s="49"/>
      <c r="J40" s="49"/>
      <c r="P40" s="49"/>
      <c r="R40" s="46">
        <f t="shared" si="0"/>
        <v>0</v>
      </c>
    </row>
    <row r="41" spans="3:18" ht="15">
      <c r="C41" s="5" t="s">
        <v>29</v>
      </c>
      <c r="D41" s="52"/>
      <c r="E41" s="6"/>
      <c r="F41" s="52"/>
      <c r="H41" s="49"/>
      <c r="R41" s="46">
        <f t="shared" si="0"/>
        <v>0</v>
      </c>
    </row>
    <row r="42" spans="3:18" ht="15">
      <c r="C42" s="5" t="s">
        <v>30</v>
      </c>
      <c r="D42" s="52"/>
      <c r="E42" s="6"/>
      <c r="F42" s="52"/>
      <c r="H42" s="49"/>
      <c r="R42" s="46">
        <f t="shared" si="0"/>
        <v>0</v>
      </c>
    </row>
    <row r="43" spans="3:18" ht="15">
      <c r="C43" s="5" t="s">
        <v>31</v>
      </c>
      <c r="D43" s="52"/>
      <c r="E43" s="6"/>
      <c r="F43" s="52"/>
      <c r="H43" s="49"/>
      <c r="R43" s="46">
        <f t="shared" si="0"/>
        <v>0</v>
      </c>
    </row>
    <row r="44" spans="3:18" ht="15">
      <c r="C44" s="5" t="s">
        <v>32</v>
      </c>
      <c r="D44" s="52"/>
      <c r="E44" s="6"/>
      <c r="F44" s="52"/>
      <c r="H44" s="49"/>
      <c r="R44" s="46">
        <f t="shared" si="0"/>
        <v>0</v>
      </c>
    </row>
    <row r="45" spans="3:18" ht="15">
      <c r="C45" s="5" t="s">
        <v>33</v>
      </c>
      <c r="D45" s="52"/>
      <c r="E45" s="6"/>
      <c r="F45" s="52"/>
      <c r="H45" s="49"/>
      <c r="R45" s="46">
        <f t="shared" si="0"/>
        <v>0</v>
      </c>
    </row>
    <row r="46" spans="3:18" ht="15">
      <c r="C46" s="5" t="s">
        <v>34</v>
      </c>
      <c r="D46" s="52"/>
      <c r="E46" s="6"/>
      <c r="F46" s="52"/>
      <c r="H46" s="49"/>
      <c r="R46" s="46">
        <f t="shared" si="0"/>
        <v>0</v>
      </c>
    </row>
    <row r="47" spans="3:18" ht="15">
      <c r="C47" s="5" t="s">
        <v>35</v>
      </c>
      <c r="D47" s="58"/>
      <c r="E47" s="6"/>
      <c r="F47" s="58"/>
      <c r="H47" s="49"/>
      <c r="R47" s="46">
        <f t="shared" si="0"/>
        <v>0</v>
      </c>
    </row>
    <row r="48" spans="3:18" ht="15">
      <c r="C48" s="3" t="s">
        <v>36</v>
      </c>
      <c r="D48" s="52"/>
      <c r="E48" s="4"/>
      <c r="F48" s="52"/>
      <c r="H48" s="49"/>
      <c r="R48" s="46">
        <f t="shared" si="0"/>
        <v>0</v>
      </c>
    </row>
    <row r="49" spans="3:18" ht="15">
      <c r="C49" s="5" t="s">
        <v>37</v>
      </c>
      <c r="D49" s="52"/>
      <c r="E49" s="6"/>
      <c r="F49" s="52"/>
      <c r="H49" s="49"/>
      <c r="R49" s="46">
        <f t="shared" si="0"/>
        <v>0</v>
      </c>
    </row>
    <row r="50" spans="3:18" ht="15">
      <c r="C50" s="5" t="s">
        <v>38</v>
      </c>
      <c r="D50" s="52"/>
      <c r="E50" s="6"/>
      <c r="F50" s="52"/>
      <c r="H50" s="49"/>
      <c r="R50" s="46">
        <f t="shared" si="0"/>
        <v>0</v>
      </c>
    </row>
    <row r="51" spans="3:18" ht="15">
      <c r="C51" s="5" t="s">
        <v>39</v>
      </c>
      <c r="D51" s="52"/>
      <c r="E51" s="6"/>
      <c r="F51" s="52"/>
      <c r="H51" s="49"/>
      <c r="R51" s="46">
        <f t="shared" si="0"/>
        <v>0</v>
      </c>
    </row>
    <row r="52" spans="3:18" ht="15">
      <c r="C52" s="5" t="s">
        <v>40</v>
      </c>
      <c r="D52" s="52"/>
      <c r="E52" s="6"/>
      <c r="F52" s="52"/>
      <c r="H52" s="49"/>
      <c r="R52" s="46">
        <f t="shared" si="0"/>
        <v>0</v>
      </c>
    </row>
    <row r="53" spans="3:18" ht="15">
      <c r="C53" s="5" t="s">
        <v>41</v>
      </c>
      <c r="D53" s="52"/>
      <c r="E53" s="6"/>
      <c r="F53" s="52"/>
      <c r="H53" s="49"/>
      <c r="R53" s="46">
        <f t="shared" si="0"/>
        <v>0</v>
      </c>
    </row>
    <row r="54" spans="3:18" ht="15">
      <c r="C54" s="5" t="s">
        <v>42</v>
      </c>
      <c r="D54" s="52"/>
      <c r="E54" s="6"/>
      <c r="F54" s="52"/>
      <c r="H54" s="49"/>
      <c r="R54" s="46">
        <f t="shared" si="0"/>
        <v>0</v>
      </c>
    </row>
    <row r="55" spans="3:18" ht="15">
      <c r="C55" s="3" t="s">
        <v>43</v>
      </c>
      <c r="D55" s="58">
        <f>+D56+D57+D63</f>
        <v>444000</v>
      </c>
      <c r="E55" s="4"/>
      <c r="F55" s="58"/>
      <c r="H55" s="48"/>
      <c r="I55" s="48"/>
      <c r="K55" s="56">
        <f>+K56</f>
        <v>358107.75</v>
      </c>
      <c r="L55" s="48">
        <f>+L56+L60</f>
        <v>200242.63</v>
      </c>
      <c r="M55" s="48"/>
      <c r="N55" s="48"/>
      <c r="O55" s="46">
        <f>+O56</f>
        <v>225737.76</v>
      </c>
      <c r="P55" s="56">
        <f>+P56</f>
        <v>413326.93</v>
      </c>
      <c r="R55" s="56">
        <f t="shared" si="0"/>
        <v>1197415.07</v>
      </c>
    </row>
    <row r="56" spans="3:18" ht="15">
      <c r="C56" s="5" t="s">
        <v>44</v>
      </c>
      <c r="D56" s="60">
        <f>250000+7000</f>
        <v>257000</v>
      </c>
      <c r="E56" s="6"/>
      <c r="F56" s="52"/>
      <c r="H56" s="49"/>
      <c r="I56" s="49"/>
      <c r="K56" s="49">
        <v>358107.75</v>
      </c>
      <c r="L56" s="49">
        <v>74252.64</v>
      </c>
      <c r="M56" s="49"/>
      <c r="N56" s="49"/>
      <c r="O56" s="49">
        <f>42055.2+183682.56</f>
        <v>225737.76</v>
      </c>
      <c r="P56" s="49">
        <f>226309.25+187017.68</f>
        <v>413326.93</v>
      </c>
      <c r="R56" s="46">
        <f t="shared" si="0"/>
        <v>1071425.08</v>
      </c>
    </row>
    <row r="57" spans="3:18" ht="15">
      <c r="C57" s="5" t="s">
        <v>45</v>
      </c>
      <c r="D57" s="60">
        <v>0</v>
      </c>
      <c r="E57" s="6"/>
      <c r="F57" s="52"/>
      <c r="H57" s="49"/>
      <c r="I57" s="49"/>
      <c r="L57" s="49"/>
      <c r="M57" s="49"/>
      <c r="R57" s="46">
        <f t="shared" si="0"/>
        <v>0</v>
      </c>
    </row>
    <row r="58" spans="3:18" ht="15">
      <c r="C58" s="5" t="s">
        <v>46</v>
      </c>
      <c r="D58" s="60"/>
      <c r="E58" s="6"/>
      <c r="F58" s="52"/>
      <c r="H58" s="49"/>
      <c r="I58" s="49"/>
      <c r="L58" s="49"/>
      <c r="M58" s="49"/>
      <c r="R58" s="46">
        <f t="shared" si="0"/>
        <v>0</v>
      </c>
    </row>
    <row r="59" spans="3:18" ht="15">
      <c r="C59" s="5" t="s">
        <v>47</v>
      </c>
      <c r="D59" s="60"/>
      <c r="E59" s="6"/>
      <c r="F59" s="52"/>
      <c r="H59" s="49"/>
      <c r="I59" s="49"/>
      <c r="L59" s="49"/>
      <c r="M59" s="49"/>
      <c r="R59" s="46">
        <f t="shared" si="0"/>
        <v>0</v>
      </c>
    </row>
    <row r="60" spans="3:18" ht="15">
      <c r="C60" s="5" t="s">
        <v>48</v>
      </c>
      <c r="D60" s="60"/>
      <c r="E60" s="6"/>
      <c r="F60" s="52"/>
      <c r="H60" s="49"/>
      <c r="I60" s="49"/>
      <c r="K60" s="49"/>
      <c r="L60" s="49">
        <v>125989.99</v>
      </c>
      <c r="M60" s="49"/>
      <c r="P60" s="49"/>
      <c r="R60" s="46">
        <f t="shared" si="0"/>
        <v>125989.99</v>
      </c>
    </row>
    <row r="61" spans="3:18" ht="15">
      <c r="C61" s="5" t="s">
        <v>49</v>
      </c>
      <c r="D61" s="60"/>
      <c r="E61" s="6"/>
      <c r="F61" s="52"/>
      <c r="H61" s="49"/>
      <c r="L61" s="49"/>
      <c r="M61" s="49"/>
      <c r="R61" s="46">
        <f t="shared" si="0"/>
        <v>0</v>
      </c>
    </row>
    <row r="62" spans="3:18" ht="15">
      <c r="C62" s="5" t="s">
        <v>50</v>
      </c>
      <c r="D62" s="60"/>
      <c r="E62" s="6"/>
      <c r="F62" s="52"/>
      <c r="H62" s="49"/>
      <c r="L62" s="49"/>
      <c r="M62" s="49"/>
      <c r="R62" s="46">
        <f t="shared" si="0"/>
        <v>0</v>
      </c>
    </row>
    <row r="63" spans="3:18" ht="15">
      <c r="C63" s="5" t="s">
        <v>51</v>
      </c>
      <c r="D63" s="60">
        <v>187000</v>
      </c>
      <c r="E63" s="6"/>
      <c r="F63" s="52"/>
      <c r="H63" s="49"/>
      <c r="L63" s="49"/>
      <c r="M63" s="49"/>
      <c r="P63" s="49"/>
      <c r="R63" s="46">
        <f t="shared" si="0"/>
        <v>0</v>
      </c>
    </row>
    <row r="64" spans="3:18" ht="15">
      <c r="C64" s="5" t="s">
        <v>52</v>
      </c>
      <c r="D64" s="52"/>
      <c r="E64" s="6"/>
      <c r="F64" s="52"/>
      <c r="H64" s="49"/>
      <c r="L64" s="49"/>
      <c r="R64" s="46">
        <f t="shared" si="0"/>
        <v>0</v>
      </c>
    </row>
    <row r="65" spans="3:18" ht="15">
      <c r="C65" s="3" t="s">
        <v>53</v>
      </c>
      <c r="D65" s="58"/>
      <c r="E65" s="4"/>
      <c r="F65" s="58"/>
      <c r="L65" s="49"/>
      <c r="R65" s="46">
        <f t="shared" si="0"/>
        <v>0</v>
      </c>
    </row>
    <row r="66" spans="3:18" ht="15">
      <c r="C66" s="5" t="s">
        <v>54</v>
      </c>
      <c r="D66" s="52"/>
      <c r="E66" s="6"/>
      <c r="F66" s="52"/>
      <c r="L66" s="49"/>
      <c r="R66" s="46">
        <f t="shared" si="0"/>
        <v>0</v>
      </c>
    </row>
    <row r="67" spans="3:18" ht="15">
      <c r="C67" s="5" t="s">
        <v>55</v>
      </c>
      <c r="D67" s="52"/>
      <c r="E67" s="6"/>
      <c r="F67" s="52"/>
      <c r="L67" s="49"/>
      <c r="R67" s="46">
        <f t="shared" si="0"/>
        <v>0</v>
      </c>
    </row>
    <row r="68" spans="3:18" ht="15">
      <c r="C68" s="5" t="s">
        <v>56</v>
      </c>
      <c r="D68" s="52"/>
      <c r="E68" s="6"/>
      <c r="F68" s="52"/>
      <c r="L68" s="49"/>
      <c r="R68" s="46">
        <f t="shared" si="0"/>
        <v>0</v>
      </c>
    </row>
    <row r="69" spans="3:18" ht="15">
      <c r="C69" s="5" t="s">
        <v>57</v>
      </c>
      <c r="D69" s="52"/>
      <c r="E69" s="6"/>
      <c r="F69" s="52"/>
      <c r="L69" s="49"/>
      <c r="R69" s="46">
        <f t="shared" si="0"/>
        <v>0</v>
      </c>
    </row>
    <row r="70" spans="3:18" ht="15">
      <c r="C70" s="3" t="s">
        <v>58</v>
      </c>
      <c r="D70" s="58"/>
      <c r="E70" s="4"/>
      <c r="F70" s="58"/>
      <c r="L70" s="49"/>
      <c r="R70" s="46">
        <f t="shared" si="0"/>
        <v>0</v>
      </c>
    </row>
    <row r="71" spans="3:18" ht="15">
      <c r="C71" s="5" t="s">
        <v>59</v>
      </c>
      <c r="D71" s="52"/>
      <c r="E71" s="52"/>
      <c r="F71" s="52"/>
      <c r="L71" s="49"/>
      <c r="R71" s="46">
        <f t="shared" si="0"/>
        <v>0</v>
      </c>
    </row>
    <row r="72" spans="3:18" ht="15">
      <c r="C72" s="5" t="s">
        <v>60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46">
        <f t="shared" si="0"/>
        <v>0</v>
      </c>
    </row>
    <row r="73" spans="3:18" ht="15">
      <c r="C73" s="3" t="s">
        <v>61</v>
      </c>
      <c r="D73" s="58"/>
      <c r="E73" s="52"/>
      <c r="F73" s="58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46">
        <f t="shared" si="0"/>
        <v>0</v>
      </c>
    </row>
    <row r="74" spans="3:18" ht="15">
      <c r="C74" s="5" t="s">
        <v>62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46">
        <f t="shared" si="0"/>
        <v>0</v>
      </c>
    </row>
    <row r="75" spans="3:18" ht="15">
      <c r="C75" s="5" t="s">
        <v>63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46">
        <f t="shared" si="0"/>
        <v>0</v>
      </c>
    </row>
    <row r="76" spans="3:18" ht="15">
      <c r="C76" s="5" t="s">
        <v>64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46">
        <f t="shared" si="0"/>
        <v>0</v>
      </c>
    </row>
    <row r="77" spans="3:18" ht="15">
      <c r="C77" s="3" t="s">
        <v>69</v>
      </c>
      <c r="D77" s="3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46">
        <f>+F77+G77+H77+I77+J77+K77+L77+M77+N77+O77+P77+Q77</f>
        <v>0</v>
      </c>
    </row>
    <row r="78" spans="3:17" ht="15">
      <c r="C78" s="3" t="s">
        <v>70</v>
      </c>
      <c r="D78" s="4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3:17" ht="15">
      <c r="C79" s="5" t="s">
        <v>71</v>
      </c>
      <c r="D79" s="6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3:18" ht="15">
      <c r="C80" s="5" t="s">
        <v>72</v>
      </c>
      <c r="D80" s="6"/>
      <c r="E80" s="6"/>
      <c r="F80" s="58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6">
        <f>SUM(K80:Q80)</f>
        <v>0</v>
      </c>
    </row>
    <row r="81" spans="3:17" ht="15">
      <c r="C81" s="3" t="s">
        <v>73</v>
      </c>
      <c r="D81" s="4"/>
      <c r="E81" s="4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3:16" ht="15">
      <c r="C82" s="5" t="s">
        <v>74</v>
      </c>
      <c r="D82" s="6"/>
      <c r="E82" s="6"/>
      <c r="F82" s="52"/>
      <c r="K82" s="49"/>
      <c r="P82" s="49"/>
    </row>
    <row r="83" spans="3:6" ht="15">
      <c r="C83" s="5" t="s">
        <v>75</v>
      </c>
      <c r="D83" s="6"/>
      <c r="E83" s="6"/>
      <c r="F83" s="58"/>
    </row>
    <row r="84" spans="3:6" ht="15">
      <c r="C84" s="3" t="s">
        <v>76</v>
      </c>
      <c r="D84" s="4"/>
      <c r="E84" s="4"/>
      <c r="F84" s="52"/>
    </row>
    <row r="85" spans="3:6" ht="15">
      <c r="C85" s="5" t="s">
        <v>77</v>
      </c>
      <c r="D85" s="6"/>
      <c r="E85" s="6"/>
      <c r="F85" s="52"/>
    </row>
    <row r="86" spans="3:18" ht="15">
      <c r="C86" s="10" t="s">
        <v>65</v>
      </c>
      <c r="D86" s="9">
        <f>D13+D19+D29+D55</f>
        <v>70081379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5">
      <c r="F87" s="52"/>
    </row>
    <row r="93" ht="15.75" thickBot="1"/>
    <row r="94" spans="5:8" ht="15.75" thickTop="1">
      <c r="E94" s="62" t="s">
        <v>102</v>
      </c>
      <c r="F94" s="62"/>
      <c r="G94" s="62"/>
      <c r="H94" s="62"/>
    </row>
    <row r="95" spans="5:8" ht="15">
      <c r="E95" s="63" t="s">
        <v>103</v>
      </c>
      <c r="F95" s="63"/>
      <c r="G95" s="63"/>
      <c r="H95" s="63"/>
    </row>
  </sheetData>
  <sheetProtection/>
  <mergeCells count="11">
    <mergeCell ref="E94:H94"/>
    <mergeCell ref="E95:H95"/>
    <mergeCell ref="C8:R8"/>
    <mergeCell ref="F10:R10"/>
    <mergeCell ref="C3:R3"/>
    <mergeCell ref="C4:R4"/>
    <mergeCell ref="C10:C11"/>
    <mergeCell ref="D10:D11"/>
    <mergeCell ref="E10:E11"/>
    <mergeCell ref="C6:R6"/>
    <mergeCell ref="C7:R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zoomScalePageLayoutView="0" workbookViewId="0" topLeftCell="A1">
      <selection activeCell="J19" sqref="J19"/>
    </sheetView>
  </sheetViews>
  <sheetFormatPr defaultColWidth="11.421875" defaultRowHeight="15"/>
  <cols>
    <col min="3" max="3" width="93.7109375" style="0" bestFit="1" customWidth="1"/>
    <col min="12" max="12" width="13.7109375" style="0" customWidth="1"/>
    <col min="14" max="14" width="13.28125" style="0" customWidth="1"/>
    <col min="15" max="15" width="13.421875" style="0" customWidth="1"/>
  </cols>
  <sheetData>
    <row r="3" spans="3:16" ht="28.5" customHeight="1">
      <c r="C3" s="33" t="s">
        <v>78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3:16" ht="21" customHeight="1">
      <c r="C4" s="31" t="s">
        <v>67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3:16" ht="15.75">
      <c r="C5" s="40" t="s">
        <v>68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3:16" ht="15.75" customHeight="1">
      <c r="C6" s="35" t="s">
        <v>95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3:16" ht="15.75" customHeight="1">
      <c r="C7" s="36" t="s">
        <v>80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3:16" ht="23.25" customHeight="1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6" ht="1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C11" s="3" t="s">
        <v>1</v>
      </c>
    </row>
    <row r="12" ht="15">
      <c r="C12" s="5" t="s">
        <v>2</v>
      </c>
    </row>
    <row r="13" spans="3:5" ht="15">
      <c r="C13" s="5" t="s">
        <v>3</v>
      </c>
      <c r="E13" s="17"/>
    </row>
    <row r="14" spans="3:17" ht="15">
      <c r="C14" s="5" t="s">
        <v>4</v>
      </c>
      <c r="Q14" s="19"/>
    </row>
    <row r="15" ht="15">
      <c r="C15" s="5" t="s">
        <v>5</v>
      </c>
    </row>
    <row r="16" ht="15">
      <c r="C16" s="5" t="s">
        <v>6</v>
      </c>
    </row>
    <row r="17" ht="15">
      <c r="C17" s="3" t="s">
        <v>7</v>
      </c>
    </row>
    <row r="18" ht="15">
      <c r="C18" s="5" t="s">
        <v>8</v>
      </c>
    </row>
    <row r="19" ht="15">
      <c r="C19" s="5" t="s">
        <v>9</v>
      </c>
    </row>
    <row r="20" ht="15">
      <c r="C20" s="5" t="s">
        <v>10</v>
      </c>
    </row>
    <row r="21" ht="15">
      <c r="C21" s="5" t="s">
        <v>11</v>
      </c>
    </row>
    <row r="22" ht="15">
      <c r="C22" s="5" t="s">
        <v>12</v>
      </c>
    </row>
    <row r="23" ht="15">
      <c r="C23" s="5" t="s">
        <v>13</v>
      </c>
    </row>
    <row r="24" ht="15">
      <c r="C24" s="5" t="s">
        <v>14</v>
      </c>
    </row>
    <row r="25" ht="15">
      <c r="C25" s="5" t="s">
        <v>15</v>
      </c>
    </row>
    <row r="26" ht="15">
      <c r="C26" s="5" t="s">
        <v>16</v>
      </c>
    </row>
    <row r="27" ht="15">
      <c r="C27" s="3" t="s">
        <v>17</v>
      </c>
    </row>
    <row r="28" ht="15">
      <c r="C28" s="5" t="s">
        <v>18</v>
      </c>
    </row>
    <row r="29" ht="15">
      <c r="C29" s="5" t="s">
        <v>19</v>
      </c>
    </row>
    <row r="30" ht="15">
      <c r="C30" s="5" t="s">
        <v>20</v>
      </c>
    </row>
    <row r="31" ht="15">
      <c r="C31" s="5" t="s">
        <v>21</v>
      </c>
    </row>
    <row r="32" ht="15">
      <c r="C32" s="5" t="s">
        <v>22</v>
      </c>
    </row>
    <row r="33" ht="15">
      <c r="C33" s="5" t="s">
        <v>23</v>
      </c>
    </row>
    <row r="34" ht="15">
      <c r="C34" s="5" t="s">
        <v>24</v>
      </c>
    </row>
    <row r="35" ht="15">
      <c r="C35" s="5" t="s">
        <v>25</v>
      </c>
    </row>
    <row r="36" ht="15">
      <c r="C36" s="5" t="s">
        <v>26</v>
      </c>
    </row>
    <row r="37" ht="15">
      <c r="C37" s="3" t="s">
        <v>27</v>
      </c>
    </row>
    <row r="38" ht="15">
      <c r="C38" s="5" t="s">
        <v>28</v>
      </c>
    </row>
    <row r="39" ht="15">
      <c r="C39" s="5" t="s">
        <v>29</v>
      </c>
    </row>
    <row r="40" ht="15">
      <c r="C40" s="5" t="s">
        <v>30</v>
      </c>
    </row>
    <row r="41" ht="15">
      <c r="C41" s="5" t="s">
        <v>31</v>
      </c>
    </row>
    <row r="42" ht="15">
      <c r="C42" s="5" t="s">
        <v>32</v>
      </c>
    </row>
    <row r="43" ht="15">
      <c r="C43" s="5" t="s">
        <v>33</v>
      </c>
    </row>
    <row r="44" ht="15">
      <c r="C44" s="5" t="s">
        <v>34</v>
      </c>
    </row>
    <row r="45" ht="15">
      <c r="C45" s="5" t="s">
        <v>35</v>
      </c>
    </row>
    <row r="46" ht="15">
      <c r="C46" s="3" t="s">
        <v>36</v>
      </c>
    </row>
    <row r="47" ht="15">
      <c r="C47" s="5" t="s">
        <v>37</v>
      </c>
    </row>
    <row r="48" ht="15">
      <c r="C48" s="5" t="s">
        <v>38</v>
      </c>
    </row>
    <row r="49" ht="15">
      <c r="C49" s="5" t="s">
        <v>39</v>
      </c>
    </row>
    <row r="50" ht="15">
      <c r="C50" s="5" t="s">
        <v>40</v>
      </c>
    </row>
    <row r="51" ht="15">
      <c r="C51" s="5" t="s">
        <v>41</v>
      </c>
    </row>
    <row r="52" ht="15">
      <c r="C52" s="5" t="s">
        <v>42</v>
      </c>
    </row>
    <row r="53" ht="15">
      <c r="C53" s="3" t="s">
        <v>43</v>
      </c>
    </row>
    <row r="54" ht="15">
      <c r="C54" s="5" t="s">
        <v>44</v>
      </c>
    </row>
    <row r="55" ht="15">
      <c r="C55" s="5" t="s">
        <v>45</v>
      </c>
    </row>
    <row r="56" ht="15">
      <c r="C56" s="5" t="s">
        <v>46</v>
      </c>
    </row>
    <row r="57" ht="15">
      <c r="C57" s="5" t="s">
        <v>47</v>
      </c>
    </row>
    <row r="58" ht="15">
      <c r="C58" s="5" t="s">
        <v>48</v>
      </c>
    </row>
    <row r="59" ht="15">
      <c r="C59" s="5" t="s">
        <v>49</v>
      </c>
    </row>
    <row r="60" ht="15">
      <c r="C60" s="5" t="s">
        <v>50</v>
      </c>
    </row>
    <row r="61" ht="15">
      <c r="C61" s="5" t="s">
        <v>51</v>
      </c>
    </row>
    <row r="62" ht="15">
      <c r="C62" s="5" t="s">
        <v>52</v>
      </c>
    </row>
    <row r="63" ht="15">
      <c r="C63" s="3" t="s">
        <v>53</v>
      </c>
    </row>
    <row r="64" ht="15">
      <c r="C64" s="5" t="s">
        <v>54</v>
      </c>
    </row>
    <row r="65" ht="15">
      <c r="C65" s="5" t="s">
        <v>55</v>
      </c>
    </row>
    <row r="66" ht="15">
      <c r="C66" s="5" t="s">
        <v>56</v>
      </c>
    </row>
    <row r="67" ht="15">
      <c r="C67" s="5" t="s">
        <v>57</v>
      </c>
    </row>
    <row r="68" ht="15">
      <c r="C68" s="3" t="s">
        <v>58</v>
      </c>
    </row>
    <row r="69" ht="15">
      <c r="C69" s="5" t="s">
        <v>59</v>
      </c>
    </row>
    <row r="70" ht="15">
      <c r="C70" s="5" t="s">
        <v>60</v>
      </c>
    </row>
    <row r="71" ht="15">
      <c r="C71" s="3" t="s">
        <v>61</v>
      </c>
    </row>
    <row r="72" ht="15">
      <c r="C72" s="5" t="s">
        <v>62</v>
      </c>
    </row>
    <row r="73" ht="15">
      <c r="C73" s="5" t="s">
        <v>63</v>
      </c>
    </row>
    <row r="74" ht="15">
      <c r="C74" s="5" t="s">
        <v>64</v>
      </c>
    </row>
    <row r="75" spans="3:16" ht="1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5">
      <c r="C76" s="3" t="s">
        <v>70</v>
      </c>
    </row>
    <row r="77" ht="15">
      <c r="C77" s="5" t="s">
        <v>71</v>
      </c>
    </row>
    <row r="78" ht="15">
      <c r="C78" s="5" t="s">
        <v>72</v>
      </c>
    </row>
    <row r="79" ht="15">
      <c r="C79" s="3" t="s">
        <v>73</v>
      </c>
    </row>
    <row r="80" ht="15">
      <c r="C80" s="5" t="s">
        <v>74</v>
      </c>
    </row>
    <row r="81" ht="15">
      <c r="C81" s="5" t="s">
        <v>75</v>
      </c>
    </row>
    <row r="82" ht="15">
      <c r="C82" s="3" t="s">
        <v>76</v>
      </c>
    </row>
    <row r="83" ht="15">
      <c r="C83" s="5" t="s">
        <v>77</v>
      </c>
    </row>
    <row r="84" spans="3:16" ht="1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sheetProtection/>
  <mergeCells count="5">
    <mergeCell ref="C4:P4"/>
    <mergeCell ref="C5:P5"/>
    <mergeCell ref="C6:P6"/>
    <mergeCell ref="C7:P7"/>
    <mergeCell ref="C3:P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Carlos Coronado</cp:lastModifiedBy>
  <dcterms:created xsi:type="dcterms:W3CDTF">2021-07-29T18:58:50Z</dcterms:created>
  <dcterms:modified xsi:type="dcterms:W3CDTF">2021-12-20T14:47:28Z</dcterms:modified>
  <cp:category/>
  <cp:version/>
  <cp:contentType/>
  <cp:contentStatus/>
</cp:coreProperties>
</file>